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ital\Desktop\"/>
    </mc:Choice>
  </mc:AlternateContent>
  <xr:revisionPtr revIDLastSave="0" documentId="8_{0961C7A9-7408-4C73-9E89-C09190A25C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ircular Duct" sheetId="7" r:id="rId1"/>
    <sheet name="Rectangular Duct" sheetId="6" r:id="rId2"/>
  </sheets>
  <externalReferences>
    <externalReference r:id="rId3"/>
  </externalReferences>
  <definedNames>
    <definedName name="AktBarCirk" localSheetId="0">'Circular Duct'!$D$7</definedName>
    <definedName name="AktBarCirk">'[1]Cirkulär Kanal'!$D$7</definedName>
    <definedName name="AktBarRekt">'Rectangular Duct'!$D$8</definedName>
    <definedName name="AktTempCirk" localSheetId="0">'Circular Duct'!$D$8</definedName>
    <definedName name="AktTempCirk">'[1]Cirkulär Kanal'!$D$8</definedName>
    <definedName name="AktTempRekt">'Rectangular Duct'!$D$9</definedName>
    <definedName name="DensCirk" localSheetId="0">'Circular Duct'!$D$9</definedName>
    <definedName name="DensCirk">'[1]Cirkulär Kanal'!$D$9</definedName>
    <definedName name="densitetcirkulär" localSheetId="0">'Circular Duct'!$G$7</definedName>
    <definedName name="densitetcirkulär">'[1]Cirkulär Kanal'!$G$7</definedName>
    <definedName name="DensitetRekt">'Rectangular Duct'!$G$8</definedName>
    <definedName name="DensRekt">'Rectangular Duct'!$D$10</definedName>
    <definedName name="DiffTryckCircNormMax">'Circular Duct'!$G$32</definedName>
    <definedName name="DiffTryckCirkFrånHast" localSheetId="0">'Circular Duct'!$G$24</definedName>
    <definedName name="DiffTryckCirkFrånHast">'[1]Cirkulär Kanal'!$G$21</definedName>
    <definedName name="DiffTryckCirkNorm" localSheetId="0">'Circular Duct'!$G$28</definedName>
    <definedName name="DiffTryckCirkNorm">'[1]Cirkulär Kanal'!$G$25</definedName>
    <definedName name="DiffTryckRektFrånHast">'Rectangular Duct'!$G$25</definedName>
    <definedName name="DiffTryckRektNorm">'Rectangular Duct'!$G$29</definedName>
    <definedName name="DiffTryckRektNormMax">'Rectangular Duct'!$G$33</definedName>
    <definedName name="FlödeCircMax">'Circular Duct'!$D$20</definedName>
    <definedName name="Flödecirk" localSheetId="0">'Circular Duct'!$D$16</definedName>
    <definedName name="Flödecirk">'[1]Cirkulär Kanal'!$D$17</definedName>
    <definedName name="FlödeCirkGiven">'Circular Duct'!$D$16</definedName>
    <definedName name="FlödeNormCircMax">'Circular Duct'!$D$32</definedName>
    <definedName name="FlödeNormCirk" localSheetId="0">'Circular Duct'!$D$28</definedName>
    <definedName name="FlödeNormCirk">'[1]Cirkulär Kanal'!$D$25</definedName>
    <definedName name="FlödeNormRekt">'Rectangular Duct'!$D$29</definedName>
    <definedName name="FlödeNormRektMax">'Rectangular Duct'!$D$33</definedName>
    <definedName name="FlödeRekt">'Rectangular Duct'!$D$17</definedName>
    <definedName name="FlödeRektMax">'Rectangular Duct'!$D$21</definedName>
    <definedName name="HastighetCirkGiven" localSheetId="0">'Circular Duct'!$D$24</definedName>
    <definedName name="HastighetCirkGiven">'[1]Cirkulär Kanal'!$D$21</definedName>
    <definedName name="HastighetRektGiven">'Rectangular Duct'!$D$25</definedName>
    <definedName name="kanalareacirk" localSheetId="0">'Circular Duct'!$G$4</definedName>
    <definedName name="kanalareacirk">'[1]Cirkulär Kanal'!$G$4</definedName>
    <definedName name="KanalAreaRekt">'Rectangular Duct'!$G$5</definedName>
    <definedName name="KanalBreddRekt">'Rectangular Duct'!$D$4</definedName>
    <definedName name="KanalDiameter" localSheetId="0">'Circular Duct'!$D$4</definedName>
    <definedName name="KanalDiameter">'[1]Cirkulär Kanal'!$D$4</definedName>
    <definedName name="KanalLängdRekt">'Rectangular Duct'!$D$5</definedName>
    <definedName name="Kmcirkulär" localSheetId="0">'Circular Duct'!$G$5</definedName>
    <definedName name="Kmcirkulär">'[1]Cirkulär Kanal'!$G$5</definedName>
    <definedName name="KmRekt">'Rectangular Duct'!$G$6</definedName>
    <definedName name="MätTryckCircMax">'Circular Duct'!$G$20</definedName>
    <definedName name="MätTryckCirkGiven" localSheetId="0">'Circular Duct'!$D$12</definedName>
    <definedName name="MätTryckCirkGiven">'[1]Cirkulär Kanal'!$D$13</definedName>
    <definedName name="mättryckcirkulär" localSheetId="0">'Circular Duct'!$G$16</definedName>
    <definedName name="mättryckcirkulär">'[1]Cirkulär Kanal'!$G$17</definedName>
    <definedName name="MätTryckGivenRekt">'Rectangular Duct'!$D$13</definedName>
    <definedName name="MätTryckRekt">'Rectangular Duct'!$G$17</definedName>
    <definedName name="MätTryckRektMax">'Rectangular Duct'!$G$21</definedName>
    <definedName name="StatisktTryck" localSheetId="0">'Circular Duct'!$D$6</definedName>
    <definedName name="StatisktTryck">'[1]Cirkulär Kanal'!$D$6</definedName>
    <definedName name="StatTrRekt">'Rectangular Duct'!$D$7</definedName>
    <definedName name="StatTryckRekt">'Rectangular Duct'!$A$7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6" i="6" l="1"/>
  <c r="G10" i="6"/>
  <c r="G4" i="7" l="1"/>
  <c r="G5" i="7"/>
  <c r="G7" i="7"/>
  <c r="G9" i="7"/>
  <c r="H10" i="7" s="1"/>
  <c r="H9" i="7"/>
  <c r="G17" i="7"/>
  <c r="G21" i="7"/>
  <c r="G29" i="7"/>
  <c r="G33" i="7"/>
  <c r="G5" i="6"/>
  <c r="G6" i="6"/>
  <c r="G8" i="6"/>
  <c r="G11" i="6"/>
  <c r="H10" i="6"/>
  <c r="G18" i="6"/>
  <c r="G22" i="6"/>
  <c r="G30" i="6"/>
  <c r="G34" i="6"/>
  <c r="G13" i="6" l="1"/>
  <c r="G17" i="6"/>
  <c r="G19" i="6" s="1"/>
  <c r="I19" i="6" s="1"/>
  <c r="G15" i="6"/>
  <c r="I15" i="6" s="1"/>
  <c r="G29" i="6"/>
  <c r="G31" i="6" s="1"/>
  <c r="I31" i="6" s="1"/>
  <c r="G16" i="7"/>
  <c r="G18" i="7" s="1"/>
  <c r="I18" i="7" s="1"/>
  <c r="G28" i="7"/>
  <c r="G30" i="7" s="1"/>
  <c r="I30" i="7" s="1"/>
  <c r="G10" i="7"/>
  <c r="G24" i="7"/>
  <c r="G25" i="7" s="1"/>
  <c r="G26" i="7" s="1"/>
  <c r="G14" i="7"/>
  <c r="I14" i="7" s="1"/>
  <c r="G25" i="6"/>
  <c r="G26" i="6" s="1"/>
  <c r="G27" i="6" s="1"/>
  <c r="G20" i="7"/>
  <c r="G22" i="7" s="1"/>
  <c r="I22" i="7" s="1"/>
  <c r="G12" i="7"/>
  <c r="G21" i="6"/>
  <c r="G23" i="6" s="1"/>
  <c r="I23" i="6" s="1"/>
  <c r="H11" i="6"/>
  <c r="G33" i="6"/>
  <c r="G35" i="6" s="1"/>
  <c r="I35" i="6" s="1"/>
  <c r="G32" i="7"/>
  <c r="G34" i="7" s="1"/>
  <c r="I34" i="7" s="1"/>
  <c r="K16" i="6" l="1"/>
  <c r="G14" i="6"/>
  <c r="G13" i="7"/>
</calcChain>
</file>

<file path=xl/sharedStrings.xml><?xml version="1.0" encoding="utf-8"?>
<sst xmlns="http://schemas.openxmlformats.org/spreadsheetml/2006/main" count="127" uniqueCount="39">
  <si>
    <t>m/s</t>
  </si>
  <si>
    <t>Actual velocity</t>
  </si>
  <si>
    <t>m3/s</t>
  </si>
  <si>
    <t>Pa</t>
  </si>
  <si>
    <t>Δp</t>
  </si>
  <si>
    <t>Specify Δp Pa</t>
  </si>
  <si>
    <t>Normal = Normal m3 at 0 °C 1013 mBar</t>
  </si>
  <si>
    <t>Con.kit</t>
  </si>
  <si>
    <t>Qty of sensors</t>
  </si>
  <si>
    <t>Density at 0 °C</t>
  </si>
  <si>
    <t>Rec. Material</t>
  </si>
  <si>
    <t>Actual temperature  °C</t>
  </si>
  <si>
    <t>Actual density</t>
  </si>
  <si>
    <t>Actual barometric pressure mBar</t>
  </si>
  <si>
    <t>Static pressure Pa</t>
  </si>
  <si>
    <t>Km</t>
  </si>
  <si>
    <t>Flow sensor constant</t>
  </si>
  <si>
    <t>m2</t>
  </si>
  <si>
    <t>Area</t>
  </si>
  <si>
    <t>Diameter of the duct (mm)</t>
  </si>
  <si>
    <t>At Duct diameter &gt;2500 mm, contact Micatrone AB</t>
  </si>
  <si>
    <t>Specify velocity m/s</t>
  </si>
  <si>
    <t>Rectangular duct</t>
  </si>
  <si>
    <t>At duct width &gt; 2500 mm, contact Micatrone AB</t>
  </si>
  <si>
    <t>Duct width (mm)</t>
  </si>
  <si>
    <t>Duct length (mm)</t>
  </si>
  <si>
    <t>Input data</t>
  </si>
  <si>
    <t>Achieved data</t>
  </si>
  <si>
    <t>Costumer Ref:</t>
  </si>
  <si>
    <t>Specify max flow  m3/s</t>
  </si>
  <si>
    <t>Specify min flow  m3/s</t>
  </si>
  <si>
    <t>Specify normal max flow at 0 °C</t>
  </si>
  <si>
    <t>Specify normal min flow at 0 °C</t>
  </si>
  <si>
    <t>Customer Ref:</t>
  </si>
  <si>
    <t>Actual</t>
  </si>
  <si>
    <t>Normal</t>
  </si>
  <si>
    <t>Circular Duct</t>
  </si>
  <si>
    <t>m3/h</t>
  </si>
  <si>
    <t>CFM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</si>
</sst>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00"/>
    <numFmt numFmtId="166" formatCode="0.000"/>
  </numFmts>
  <fonts count="8" x14ac:knownFonts="1">
    <font>
      <sz val="12"/>
      <name val="Arial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left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0" fontId="0" fillId="0" borderId="4" xfId="0" applyBorder="1"/>
    <xf numFmtId="2" fontId="0" fillId="2" borderId="5" xfId="0" applyNumberFormat="1" applyFill="1" applyBorder="1" applyAlignment="1">
      <alignment horizontal="center"/>
    </xf>
    <xf numFmtId="0" fontId="0" fillId="0" borderId="6" xfId="0" applyBorder="1"/>
    <xf numFmtId="0" fontId="0" fillId="0" borderId="7" xfId="0" applyBorder="1"/>
    <xf numFmtId="164" fontId="0" fillId="2" borderId="8" xfId="0" applyNumberFormat="1" applyFill="1" applyBorder="1" applyAlignment="1">
      <alignment horizontal="center"/>
    </xf>
    <xf numFmtId="0" fontId="0" fillId="0" borderId="9" xfId="0" applyBorder="1"/>
    <xf numFmtId="2" fontId="0" fillId="3" borderId="8" xfId="0" applyNumberForma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right"/>
    </xf>
    <xf numFmtId="2" fontId="0" fillId="0" borderId="0" xfId="0" applyNumberFormat="1" applyAlignment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165" fontId="0" fillId="0" borderId="0" xfId="0" applyNumberFormat="1" applyAlignment="1">
      <alignment horizontal="center"/>
    </xf>
    <xf numFmtId="0" fontId="0" fillId="0" borderId="0" xfId="0" applyAlignment="1" applyProtection="1">
      <alignment horizontal="center"/>
      <protection locked="0"/>
    </xf>
    <xf numFmtId="0" fontId="0" fillId="2" borderId="5" xfId="0" applyFill="1" applyBorder="1" applyAlignment="1">
      <alignment horizontal="center"/>
    </xf>
    <xf numFmtId="0" fontId="0" fillId="3" borderId="5" xfId="0" applyFill="1" applyBorder="1" applyAlignment="1" applyProtection="1">
      <alignment horizontal="center"/>
      <protection locked="0"/>
    </xf>
    <xf numFmtId="0" fontId="3" fillId="0" borderId="0" xfId="0" applyFont="1"/>
    <xf numFmtId="166" fontId="0" fillId="2" borderId="5" xfId="0" applyNumberForma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0" fillId="3" borderId="5" xfId="0" applyNumberFormat="1" applyFill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0" borderId="0" xfId="0" applyFont="1"/>
    <xf numFmtId="0" fontId="0" fillId="0" borderId="5" xfId="0" applyBorder="1"/>
    <xf numFmtId="0" fontId="5" fillId="0" borderId="0" xfId="0" applyFont="1"/>
    <xf numFmtId="166" fontId="0" fillId="2" borderId="8" xfId="0" applyNumberFormat="1" applyFill="1" applyBorder="1" applyAlignment="1">
      <alignment horizontal="center"/>
    </xf>
    <xf numFmtId="166" fontId="0" fillId="2" borderId="10" xfId="0" applyNumberFormat="1" applyFill="1" applyBorder="1" applyAlignment="1">
      <alignment horizontal="center"/>
    </xf>
    <xf numFmtId="166" fontId="0" fillId="3" borderId="8" xfId="0" applyNumberForma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left"/>
    </xf>
    <xf numFmtId="0" fontId="6" fillId="0" borderId="0" xfId="0" applyFont="1"/>
    <xf numFmtId="0" fontId="0" fillId="3" borderId="5" xfId="0" applyFill="1" applyBorder="1" applyAlignment="1">
      <alignment horizontal="center"/>
    </xf>
    <xf numFmtId="0" fontId="7" fillId="0" borderId="0" xfId="0" applyFont="1"/>
    <xf numFmtId="3" fontId="0" fillId="0" borderId="0" xfId="0" applyNumberFormat="1"/>
    <xf numFmtId="0" fontId="0" fillId="0" borderId="5" xfId="0" applyBorder="1" applyAlignment="1" applyProtection="1">
      <alignment horizontal="center"/>
      <protection locked="0"/>
    </xf>
    <xf numFmtId="0" fontId="0" fillId="0" borderId="11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2" xfId="0" applyBorder="1" applyAlignment="1">
      <alignment horizontal="left"/>
    </xf>
    <xf numFmtId="0" fontId="2" fillId="0" borderId="11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PPS\MALL\ber&#228;kning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rkulär Kanal"/>
      <sheetName val="Rektangulär kanal"/>
    </sheetNames>
    <sheetDataSet>
      <sheetData sheetId="0" refreshError="1">
        <row r="4">
          <cell r="D4">
            <v>500</v>
          </cell>
          <cell r="G4">
            <v>0.19634954084936207</v>
          </cell>
        </row>
        <row r="5">
          <cell r="G5">
            <v>0.85242407058949066</v>
          </cell>
        </row>
        <row r="6">
          <cell r="D6">
            <v>0</v>
          </cell>
        </row>
        <row r="7">
          <cell r="D7">
            <v>1013</v>
          </cell>
          <cell r="G7">
            <v>1.204740614334471</v>
          </cell>
        </row>
        <row r="8">
          <cell r="D8">
            <v>20</v>
          </cell>
        </row>
        <row r="9">
          <cell r="D9">
            <v>1.2929999999999999</v>
          </cell>
        </row>
        <row r="13">
          <cell r="D13">
            <v>0</v>
          </cell>
        </row>
        <row r="17">
          <cell r="D17">
            <v>0</v>
          </cell>
          <cell r="G17">
            <v>0</v>
          </cell>
        </row>
        <row r="21">
          <cell r="D21">
            <v>0</v>
          </cell>
          <cell r="G21">
            <v>0</v>
          </cell>
        </row>
        <row r="25">
          <cell r="D25">
            <v>0</v>
          </cell>
          <cell r="G25">
            <v>0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K34"/>
  <sheetViews>
    <sheetView showGridLines="0" tabSelected="1" workbookViewId="0">
      <selection activeCell="D16" sqref="D16"/>
    </sheetView>
  </sheetViews>
  <sheetFormatPr defaultRowHeight="15" x14ac:dyDescent="0.2"/>
  <cols>
    <col min="1" max="1" width="12.44140625" customWidth="1"/>
    <col min="2" max="2" width="14.109375" customWidth="1"/>
    <col min="3" max="3" width="6.21875" customWidth="1"/>
    <col min="4" max="4" width="11.77734375" customWidth="1"/>
    <col min="6" max="6" width="16.77734375" customWidth="1"/>
    <col min="7" max="7" width="12.21875" customWidth="1"/>
    <col min="8" max="8" width="9.44140625" customWidth="1"/>
    <col min="9" max="9" width="10.33203125" customWidth="1"/>
  </cols>
  <sheetData>
    <row r="1" spans="1:11" ht="20.25" x14ac:dyDescent="0.3">
      <c r="A1" s="54" t="s">
        <v>36</v>
      </c>
      <c r="B1" s="54"/>
      <c r="C1" s="31"/>
      <c r="D1" s="38" t="s">
        <v>33</v>
      </c>
      <c r="E1" s="48"/>
      <c r="F1" s="48"/>
      <c r="G1" s="31"/>
      <c r="H1" s="31"/>
      <c r="I1" s="31"/>
      <c r="J1" s="31"/>
    </row>
    <row r="2" spans="1:11" ht="20.25" x14ac:dyDescent="0.3">
      <c r="A2" s="30" t="s">
        <v>20</v>
      </c>
      <c r="B2" s="29"/>
    </row>
    <row r="3" spans="1:11" ht="15.75" x14ac:dyDescent="0.25">
      <c r="D3" s="28" t="s">
        <v>26</v>
      </c>
      <c r="E3" s="28"/>
      <c r="G3" s="28" t="s">
        <v>27</v>
      </c>
      <c r="I3" s="43"/>
    </row>
    <row r="4" spans="1:11" x14ac:dyDescent="0.2">
      <c r="A4" s="55" t="s">
        <v>19</v>
      </c>
      <c r="B4" s="55"/>
      <c r="D4" s="25">
        <v>200</v>
      </c>
      <c r="E4" s="23"/>
      <c r="F4" t="s">
        <v>18</v>
      </c>
      <c r="G4" s="27">
        <f>PI()*SUMSQ((KanalDiameter/1000)/2)</f>
        <v>3.1415926535897934E-2</v>
      </c>
      <c r="H4" t="s">
        <v>17</v>
      </c>
      <c r="I4" s="44"/>
    </row>
    <row r="5" spans="1:11" x14ac:dyDescent="0.2">
      <c r="A5" s="55" t="s">
        <v>16</v>
      </c>
      <c r="B5" s="55"/>
      <c r="C5" s="55"/>
      <c r="F5" t="s">
        <v>15</v>
      </c>
      <c r="G5" s="27">
        <f>((1-0.525428160635297*(4/PI()*21.7/KanalDiameter))/(SQRT(1--0.31552287576031*(1-0.525428160635297*(4/PI()*21.7/KanalDiameter))*(1-0.525428160635297*(4/PI()*21.7/KanalDiameter)))))</f>
        <v>0.82249999925199024</v>
      </c>
    </row>
    <row r="6" spans="1:11" x14ac:dyDescent="0.2">
      <c r="A6" s="1" t="s">
        <v>14</v>
      </c>
      <c r="B6" s="1"/>
      <c r="C6" s="1"/>
      <c r="D6" s="25">
        <v>0</v>
      </c>
      <c r="E6" s="23"/>
      <c r="I6" s="44"/>
    </row>
    <row r="7" spans="1:11" x14ac:dyDescent="0.2">
      <c r="A7" t="s">
        <v>13</v>
      </c>
      <c r="D7" s="25">
        <v>1013</v>
      </c>
      <c r="E7" s="23"/>
      <c r="F7" t="s">
        <v>12</v>
      </c>
      <c r="G7" s="7">
        <f>DensCirk*((AktBarCirk+StatisktTryck/100)/1013)*(273/(273+AktTempCirk))</f>
        <v>1.204740614334471</v>
      </c>
    </row>
    <row r="8" spans="1:11" ht="15.75" x14ac:dyDescent="0.25">
      <c r="A8" t="s">
        <v>11</v>
      </c>
      <c r="D8" s="25">
        <v>20</v>
      </c>
      <c r="E8" s="23"/>
      <c r="F8" s="26" t="s">
        <v>10</v>
      </c>
    </row>
    <row r="9" spans="1:11" x14ac:dyDescent="0.2">
      <c r="A9" s="1" t="s">
        <v>9</v>
      </c>
      <c r="B9" s="1"/>
      <c r="C9" s="23"/>
      <c r="D9" s="45">
        <v>1.2929999999999999</v>
      </c>
      <c r="E9" s="23"/>
      <c r="F9" t="s">
        <v>8</v>
      </c>
      <c r="G9" s="24">
        <f>IF(KanalDiameter&lt;400,1,IF(KanalDiameter&lt;900,2,3))</f>
        <v>1</v>
      </c>
      <c r="H9" s="1" t="str">
        <f>"pcs. MFS-C-"&amp;KanalDiameter</f>
        <v>pcs. MFS-C-200</v>
      </c>
      <c r="I9" s="1"/>
    </row>
    <row r="10" spans="1:11" x14ac:dyDescent="0.2">
      <c r="A10" s="1"/>
      <c r="B10" s="1"/>
      <c r="C10" s="1"/>
      <c r="F10" t="s">
        <v>7</v>
      </c>
      <c r="G10" s="24">
        <f>IF(G9=1,0,1)</f>
        <v>0</v>
      </c>
      <c r="H10" s="1" t="str">
        <f>"pcs. MTS-F"&amp;IF(G9&gt;1,G9," ")</f>
        <v xml:space="preserve">pcs. MTS-F </v>
      </c>
      <c r="I10" s="1"/>
    </row>
    <row r="11" spans="1:11" ht="16.5" thickBot="1" x14ac:dyDescent="0.3">
      <c r="A11" s="58" t="s">
        <v>6</v>
      </c>
      <c r="B11" s="59"/>
      <c r="C11" s="59"/>
      <c r="G11" s="22"/>
    </row>
    <row r="12" spans="1:11" x14ac:dyDescent="0.2">
      <c r="A12" s="49" t="s">
        <v>5</v>
      </c>
      <c r="B12" s="50"/>
      <c r="C12" s="51"/>
      <c r="D12" s="16">
        <v>100</v>
      </c>
      <c r="E12" s="15"/>
      <c r="F12" s="11" t="s">
        <v>34</v>
      </c>
      <c r="G12" s="40">
        <f>kanalareacirk*Kmcirkulär*SQRT((MätTryckCirkGiven)*(1.20474061433447/densitetcirkulär))</f>
        <v>0.25839599552276621</v>
      </c>
      <c r="H12" s="9" t="s">
        <v>2</v>
      </c>
    </row>
    <row r="13" spans="1:11" x14ac:dyDescent="0.2">
      <c r="A13" s="21"/>
      <c r="B13" s="1"/>
      <c r="C13" s="1"/>
      <c r="D13" s="14"/>
      <c r="E13" s="14"/>
      <c r="F13" t="s">
        <v>35</v>
      </c>
      <c r="G13" s="27">
        <f>(G12/(273+AktTempCirk))*273</f>
        <v>0.2407580436099494</v>
      </c>
      <c r="H13" s="6" t="s">
        <v>2</v>
      </c>
    </row>
    <row r="14" spans="1:11" ht="15.75" thickBot="1" x14ac:dyDescent="0.25">
      <c r="A14" s="20"/>
      <c r="B14" s="19"/>
      <c r="C14" s="19"/>
      <c r="D14" s="18"/>
      <c r="E14" s="18"/>
      <c r="F14" s="3" t="s">
        <v>1</v>
      </c>
      <c r="G14" s="41">
        <f>Kmcirkulär*SQRT((MätTryckCirkGiven)*(1.20474061433447/densitetcirkulär))</f>
        <v>8.2249999925198995</v>
      </c>
      <c r="H14" s="2" t="s">
        <v>0</v>
      </c>
      <c r="I14" s="39" t="str">
        <f>IF(G14&lt;2,"Warning low velocity"," ")</f>
        <v xml:space="preserve"> </v>
      </c>
    </row>
    <row r="15" spans="1:11" ht="16.5" thickBot="1" x14ac:dyDescent="0.3">
      <c r="H15" t="s">
        <v>37</v>
      </c>
      <c r="I15">
        <v>250</v>
      </c>
      <c r="K15" s="33" t="s">
        <v>38</v>
      </c>
    </row>
    <row r="16" spans="1:11" x14ac:dyDescent="0.2">
      <c r="A16" s="49" t="s">
        <v>30</v>
      </c>
      <c r="B16" s="50"/>
      <c r="C16" s="51"/>
      <c r="D16" s="16">
        <v>0</v>
      </c>
      <c r="E16" s="15"/>
      <c r="F16" s="11" t="s">
        <v>4</v>
      </c>
      <c r="G16" s="10">
        <f>SUMSQ(Flödecirk/(kanalareacirk*Kmcirkulär))/(1.20474061433447/densitetcirkulär)</f>
        <v>0</v>
      </c>
      <c r="H16" s="9" t="s">
        <v>3</v>
      </c>
    </row>
    <row r="17" spans="1:10" x14ac:dyDescent="0.2">
      <c r="A17" s="8"/>
      <c r="D17" s="14"/>
      <c r="E17" s="14"/>
      <c r="F17" t="s">
        <v>35</v>
      </c>
      <c r="G17" s="27">
        <f>(D16/(273+AktTempCirk))*273</f>
        <v>0</v>
      </c>
      <c r="H17" s="6" t="s">
        <v>2</v>
      </c>
    </row>
    <row r="18" spans="1:10" ht="15.75" thickBot="1" x14ac:dyDescent="0.25">
      <c r="A18" s="4"/>
      <c r="B18" s="3"/>
      <c r="C18" s="3"/>
      <c r="D18" s="17"/>
      <c r="E18" s="17"/>
      <c r="F18" s="3" t="s">
        <v>1</v>
      </c>
      <c r="G18" s="41">
        <f>Kmcirkulär*SQRT((mättryckcirkulär)*(1.20474061433447/densitetcirkulär))</f>
        <v>0</v>
      </c>
      <c r="H18" s="2" t="s">
        <v>0</v>
      </c>
      <c r="I18" s="39" t="str">
        <f>IF(G18&lt;2,"Warning low velocity"," ")</f>
        <v>Warning low velocity</v>
      </c>
      <c r="J18" s="32"/>
    </row>
    <row r="19" spans="1:10" ht="15.75" thickBot="1" x14ac:dyDescent="0.25">
      <c r="D19" s="23"/>
      <c r="E19" s="23"/>
      <c r="G19" s="14"/>
      <c r="J19" s="32"/>
    </row>
    <row r="20" spans="1:10" x14ac:dyDescent="0.2">
      <c r="A20" s="49" t="s">
        <v>29</v>
      </c>
      <c r="B20" s="50"/>
      <c r="C20" s="51"/>
      <c r="D20" s="16">
        <v>0.11799999999999999</v>
      </c>
      <c r="E20" s="15"/>
      <c r="F20" s="11" t="s">
        <v>4</v>
      </c>
      <c r="G20" s="10">
        <f>SUMSQ(FlödeCircMax/(kanalareacirk*Kmcirkulär))/(1.20474061433447/densitetcirkulär)</f>
        <v>20.854148259561015</v>
      </c>
      <c r="H20" s="9" t="s">
        <v>3</v>
      </c>
      <c r="J20" s="32"/>
    </row>
    <row r="21" spans="1:10" x14ac:dyDescent="0.2">
      <c r="A21" s="8"/>
      <c r="D21" s="14"/>
      <c r="E21" s="14"/>
      <c r="F21" t="s">
        <v>35</v>
      </c>
      <c r="G21" s="27">
        <f>(D20/(273+AktTempCirk))*273</f>
        <v>0.10994539249146756</v>
      </c>
      <c r="H21" s="6" t="s">
        <v>2</v>
      </c>
      <c r="J21" s="32"/>
    </row>
    <row r="22" spans="1:10" ht="15.75" thickBot="1" x14ac:dyDescent="0.25">
      <c r="A22" s="4"/>
      <c r="B22" s="3"/>
      <c r="C22" s="3"/>
      <c r="D22" s="17"/>
      <c r="E22" s="17"/>
      <c r="F22" s="3" t="s">
        <v>1</v>
      </c>
      <c r="G22" s="41">
        <f>Kmcirkulär*SQRT((MätTryckCircMax)*(1.20474061433447/densitetcirkulär))</f>
        <v>3.7560566569687293</v>
      </c>
      <c r="H22" s="2" t="s">
        <v>0</v>
      </c>
      <c r="I22" s="39" t="str">
        <f>IF(G22&lt;2,"Warning low velocity"," ")</f>
        <v xml:space="preserve"> </v>
      </c>
      <c r="J22" s="32"/>
    </row>
    <row r="23" spans="1:10" ht="15.75" thickBot="1" x14ac:dyDescent="0.25"/>
    <row r="24" spans="1:10" x14ac:dyDescent="0.2">
      <c r="A24" s="49" t="s">
        <v>21</v>
      </c>
      <c r="B24" s="50"/>
      <c r="C24" s="51"/>
      <c r="D24" s="16">
        <v>0</v>
      </c>
      <c r="E24" s="15"/>
      <c r="F24" s="11" t="s">
        <v>4</v>
      </c>
      <c r="G24" s="10">
        <f>SUMSQ(HastighetCirkGiven/Kmcirkulär)/(1.20474061433447/densitetcirkulär)</f>
        <v>0</v>
      </c>
      <c r="H24" s="9" t="s">
        <v>3</v>
      </c>
    </row>
    <row r="25" spans="1:10" x14ac:dyDescent="0.2">
      <c r="A25" s="8"/>
      <c r="F25" t="s">
        <v>34</v>
      </c>
      <c r="G25" s="27">
        <f>kanalareacirk*Kmcirkulär*SQRT((DiffTryckCirkFrånHast)*(1.20474061433447/densitetcirkulär))</f>
        <v>0</v>
      </c>
      <c r="H25" s="6" t="s">
        <v>2</v>
      </c>
    </row>
    <row r="26" spans="1:10" ht="16.5" thickBot="1" x14ac:dyDescent="0.3">
      <c r="A26" s="56"/>
      <c r="B26" s="57"/>
      <c r="C26" s="57"/>
      <c r="D26" s="3"/>
      <c r="E26" s="3"/>
      <c r="F26" s="3" t="s">
        <v>35</v>
      </c>
      <c r="G26" s="27">
        <f>(G25/(273+AktTempCirk))*273</f>
        <v>0</v>
      </c>
      <c r="H26" s="2" t="s">
        <v>2</v>
      </c>
    </row>
    <row r="27" spans="1:10" ht="15.75" thickBot="1" x14ac:dyDescent="0.25">
      <c r="A27" s="13"/>
      <c r="B27" s="14"/>
      <c r="F27" s="13"/>
    </row>
    <row r="28" spans="1:10" ht="15.75" x14ac:dyDescent="0.25">
      <c r="A28" s="52" t="s">
        <v>32</v>
      </c>
      <c r="B28" s="53"/>
      <c r="C28" s="53"/>
      <c r="D28" s="42">
        <v>0</v>
      </c>
      <c r="E28" s="11"/>
      <c r="F28" s="11" t="s">
        <v>4</v>
      </c>
      <c r="G28" s="10">
        <f>SUMSQ(((FlödeNormCirk*(273+AktTempCirk))/273)/(kanalareacirk*Kmcirkulär))/(1.20474061433447/densitetcirkulär)</f>
        <v>0</v>
      </c>
      <c r="H28" s="9" t="s">
        <v>3</v>
      </c>
    </row>
    <row r="29" spans="1:10" x14ac:dyDescent="0.2">
      <c r="A29" s="8"/>
      <c r="F29" t="s">
        <v>34</v>
      </c>
      <c r="G29" s="27">
        <f>D28*(273+AktTempCirk)/273</f>
        <v>0</v>
      </c>
      <c r="H29" s="6" t="s">
        <v>2</v>
      </c>
      <c r="I29" s="5"/>
      <c r="J29" s="5"/>
    </row>
    <row r="30" spans="1:10" ht="15.75" thickBot="1" x14ac:dyDescent="0.25">
      <c r="A30" s="4"/>
      <c r="B30" s="3"/>
      <c r="C30" s="3"/>
      <c r="D30" s="3"/>
      <c r="E30" s="3"/>
      <c r="F30" s="3" t="s">
        <v>1</v>
      </c>
      <c r="G30" s="41">
        <f>Kmcirkulär*SQRT((DiffTryckCirkNorm)*(1.20474061433447/densitetcirkulär))</f>
        <v>0</v>
      </c>
      <c r="H30" s="2" t="s">
        <v>0</v>
      </c>
      <c r="I30" s="30" t="str">
        <f>IF(G30&lt;2,"Warning low velocity"," ")</f>
        <v>Warning low velocity</v>
      </c>
      <c r="J30" s="5"/>
    </row>
    <row r="31" spans="1:10" ht="15.75" thickBot="1" x14ac:dyDescent="0.25">
      <c r="I31" s="5"/>
      <c r="J31" s="5"/>
    </row>
    <row r="32" spans="1:10" ht="15.75" x14ac:dyDescent="0.25">
      <c r="A32" s="52" t="s">
        <v>31</v>
      </c>
      <c r="B32" s="53"/>
      <c r="C32" s="53"/>
      <c r="D32" s="42">
        <v>0</v>
      </c>
      <c r="E32" s="11"/>
      <c r="F32" s="11" t="s">
        <v>4</v>
      </c>
      <c r="G32" s="10">
        <f>SUMSQ(((FlödeNormCircMax*(273+AktTempCirk))/273)/(kanalareacirk*Kmcirkulär))/(1.20474061433447/densitetcirkulär)</f>
        <v>0</v>
      </c>
      <c r="H32" s="9" t="s">
        <v>3</v>
      </c>
    </row>
    <row r="33" spans="1:9" x14ac:dyDescent="0.2">
      <c r="A33" s="8"/>
      <c r="F33" t="s">
        <v>34</v>
      </c>
      <c r="G33" s="27">
        <f>D32*(273+AktTempCirk)/273</f>
        <v>0</v>
      </c>
      <c r="H33" s="6" t="s">
        <v>2</v>
      </c>
      <c r="I33" s="5"/>
    </row>
    <row r="34" spans="1:9" ht="15.75" thickBot="1" x14ac:dyDescent="0.25">
      <c r="A34" s="4"/>
      <c r="B34" s="3"/>
      <c r="C34" s="3"/>
      <c r="D34" s="3"/>
      <c r="E34" s="3"/>
      <c r="F34" s="3" t="s">
        <v>1</v>
      </c>
      <c r="G34" s="41">
        <f>Kmcirkulär*SQRT((DiffTryckCircNormMax)*(1.20474061433447/densitetcirkulär))</f>
        <v>0</v>
      </c>
      <c r="H34" s="2" t="s">
        <v>0</v>
      </c>
      <c r="I34" s="30" t="str">
        <f>IF(G34&lt;2,"Warning low velocity"," ")</f>
        <v>Warning low velocity</v>
      </c>
    </row>
  </sheetData>
  <mergeCells count="12">
    <mergeCell ref="E1:F1"/>
    <mergeCell ref="A20:C20"/>
    <mergeCell ref="A32:C32"/>
    <mergeCell ref="A1:B1"/>
    <mergeCell ref="A28:C28"/>
    <mergeCell ref="A5:C5"/>
    <mergeCell ref="A12:C12"/>
    <mergeCell ref="A4:B4"/>
    <mergeCell ref="A26:C26"/>
    <mergeCell ref="A16:C16"/>
    <mergeCell ref="A24:C24"/>
    <mergeCell ref="A11:C11"/>
  </mergeCells>
  <phoneticPr fontId="0" type="noConversion"/>
  <pageMargins left="0.2" right="0.2" top="0.41" bottom="0.5" header="0.38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3"/>
  <dimension ref="A1:K35"/>
  <sheetViews>
    <sheetView showGridLines="0" workbookViewId="0">
      <selection activeCell="I15" sqref="I15"/>
    </sheetView>
  </sheetViews>
  <sheetFormatPr defaultRowHeight="15" x14ac:dyDescent="0.2"/>
  <cols>
    <col min="1" max="1" width="10.33203125" customWidth="1"/>
    <col min="2" max="2" width="10.5546875" customWidth="1"/>
    <col min="3" max="3" width="11" customWidth="1"/>
    <col min="4" max="4" width="11.77734375" customWidth="1"/>
    <col min="6" max="6" width="16.6640625" customWidth="1"/>
    <col min="7" max="7" width="12.21875" customWidth="1"/>
    <col min="9" max="9" width="11.5546875" customWidth="1"/>
  </cols>
  <sheetData>
    <row r="1" spans="1:11" ht="20.25" x14ac:dyDescent="0.3">
      <c r="A1" s="54" t="s">
        <v>22</v>
      </c>
      <c r="B1" s="54"/>
      <c r="D1" s="38" t="s">
        <v>28</v>
      </c>
      <c r="E1" s="48"/>
      <c r="F1" s="48"/>
      <c r="H1" s="60"/>
      <c r="I1" s="60"/>
    </row>
    <row r="2" spans="1:11" ht="19.5" customHeight="1" x14ac:dyDescent="0.3">
      <c r="A2" s="30" t="s">
        <v>23</v>
      </c>
      <c r="B2" s="29"/>
      <c r="H2" s="33"/>
      <c r="I2" s="33"/>
    </row>
    <row r="3" spans="1:11" ht="19.5" customHeight="1" x14ac:dyDescent="0.3">
      <c r="A3" s="34"/>
      <c r="B3" s="29"/>
      <c r="D3" s="28" t="s">
        <v>26</v>
      </c>
      <c r="G3" s="28" t="s">
        <v>27</v>
      </c>
      <c r="H3" s="33"/>
      <c r="I3" s="33"/>
    </row>
    <row r="4" spans="1:11" ht="16.5" customHeight="1" x14ac:dyDescent="0.3">
      <c r="A4" s="58" t="s">
        <v>24</v>
      </c>
      <c r="B4" s="58"/>
      <c r="D4" s="35">
        <v>700</v>
      </c>
      <c r="E4" s="36"/>
      <c r="I4" s="29"/>
    </row>
    <row r="5" spans="1:11" ht="17.25" customHeight="1" x14ac:dyDescent="0.25">
      <c r="A5" s="58" t="s">
        <v>25</v>
      </c>
      <c r="B5" s="58"/>
      <c r="D5" s="35">
        <v>200</v>
      </c>
      <c r="E5" s="36"/>
      <c r="F5" s="37" t="s">
        <v>18</v>
      </c>
      <c r="G5" s="27">
        <f>(KanalBreddRekt/1000*KanalLängdRekt/1000)</f>
        <v>0.14000000000000001</v>
      </c>
      <c r="H5" t="s">
        <v>17</v>
      </c>
      <c r="I5" s="43"/>
    </row>
    <row r="6" spans="1:11" x14ac:dyDescent="0.2">
      <c r="A6" s="55" t="s">
        <v>16</v>
      </c>
      <c r="B6" s="55"/>
      <c r="C6" s="55"/>
      <c r="F6" t="s">
        <v>15</v>
      </c>
      <c r="G6" s="27">
        <f>((1-0.525428160635297*(21.7/(KanalBreddRekt-(1-1)*21.7)))/SQRT(1--0.31552287576031*(1-0.525428160635297*(21.7/(KanalBreddRekt-(1-1)*21.7)))*(1-0.525428160635297*(21.7/(KanalBreddRekt-(1-1)*21.7)))))</f>
        <v>0.86100967499698611</v>
      </c>
      <c r="I6" s="44"/>
    </row>
    <row r="7" spans="1:11" x14ac:dyDescent="0.2">
      <c r="A7" s="1" t="s">
        <v>14</v>
      </c>
      <c r="B7" s="1"/>
      <c r="C7" s="1"/>
      <c r="D7" s="25">
        <v>0</v>
      </c>
      <c r="E7" s="23"/>
    </row>
    <row r="8" spans="1:11" x14ac:dyDescent="0.2">
      <c r="A8" t="s">
        <v>13</v>
      </c>
      <c r="D8" s="25">
        <v>1013</v>
      </c>
      <c r="E8" s="23"/>
      <c r="F8" t="s">
        <v>12</v>
      </c>
      <c r="G8" s="7">
        <f>DensRekt*((AktBarRekt+StatTrRekt/100)/1013)*(273/(273+AktTempRekt))</f>
        <v>1.1845268456375837</v>
      </c>
      <c r="I8" s="44"/>
    </row>
    <row r="9" spans="1:11" ht="15.75" x14ac:dyDescent="0.25">
      <c r="A9" t="s">
        <v>11</v>
      </c>
      <c r="D9" s="25">
        <v>25</v>
      </c>
      <c r="E9" s="23"/>
      <c r="F9" s="26" t="s">
        <v>10</v>
      </c>
      <c r="I9" s="1"/>
    </row>
    <row r="10" spans="1:11" x14ac:dyDescent="0.2">
      <c r="A10" s="1" t="s">
        <v>9</v>
      </c>
      <c r="B10" s="1"/>
      <c r="C10" s="23"/>
      <c r="D10" s="45">
        <v>1.2929999999999999</v>
      </c>
      <c r="E10" s="23"/>
      <c r="F10" t="s">
        <v>8</v>
      </c>
      <c r="G10" s="24">
        <f>IF(KanalBreddRekt&lt;400,1,IF(KanalBreddRekt&lt;600,2,IF(KanalBreddRekt&lt;900,3,IF(KanalBreddRekt&lt;1500,4,4))))</f>
        <v>3</v>
      </c>
      <c r="H10" s="1" t="str">
        <f>"pcs. MFS-R-"&amp;KanalLängdRekt</f>
        <v>pcs. MFS-R-200</v>
      </c>
      <c r="I10" s="1"/>
    </row>
    <row r="11" spans="1:11" x14ac:dyDescent="0.2">
      <c r="A11" s="1"/>
      <c r="B11" s="1"/>
      <c r="C11" s="23"/>
      <c r="D11" s="23"/>
      <c r="E11" s="23"/>
      <c r="F11" t="s">
        <v>7</v>
      </c>
      <c r="G11" s="24">
        <f>IF(G10=1,0,1)</f>
        <v>1</v>
      </c>
      <c r="H11" s="1" t="str">
        <f>"pcs. MTS-F"&amp;IF(G10&gt;1,G10," ")</f>
        <v>pcs. MTS-F3</v>
      </c>
      <c r="I11" s="1"/>
    </row>
    <row r="12" spans="1:11" ht="16.5" thickBot="1" x14ac:dyDescent="0.3">
      <c r="A12" s="58" t="s">
        <v>6</v>
      </c>
      <c r="B12" s="59"/>
      <c r="C12" s="59"/>
      <c r="F12" s="13"/>
      <c r="G12" s="14"/>
      <c r="I12" s="1"/>
    </row>
    <row r="13" spans="1:11" x14ac:dyDescent="0.2">
      <c r="A13" s="49" t="s">
        <v>5</v>
      </c>
      <c r="B13" s="50"/>
      <c r="C13" s="51"/>
      <c r="D13" s="16">
        <v>50</v>
      </c>
      <c r="E13" s="15"/>
      <c r="F13" s="11" t="s">
        <v>34</v>
      </c>
      <c r="G13" s="40">
        <f>KanalAreaRekt*KmRekt*SQRT((MätTryckGivenRekt)*(1.20474061433447/DensitetRekt))</f>
        <v>0.85959798992398029</v>
      </c>
      <c r="H13" s="9" t="s">
        <v>2</v>
      </c>
      <c r="I13" s="1"/>
    </row>
    <row r="14" spans="1:11" x14ac:dyDescent="0.2">
      <c r="A14" s="21"/>
      <c r="B14" s="1"/>
      <c r="C14" s="1"/>
      <c r="D14" s="14"/>
      <c r="E14" s="14"/>
      <c r="F14" t="s">
        <v>35</v>
      </c>
      <c r="G14" s="27">
        <f>(G13/(273+AktTempRekt))*273</f>
        <v>0.78748406459478726</v>
      </c>
      <c r="H14" s="6" t="s">
        <v>2</v>
      </c>
      <c r="I14" s="1"/>
    </row>
    <row r="15" spans="1:11" ht="15.75" thickBot="1" x14ac:dyDescent="0.25">
      <c r="A15" s="20"/>
      <c r="B15" s="19"/>
      <c r="C15" s="19"/>
      <c r="D15" s="18"/>
      <c r="E15" s="18"/>
      <c r="F15" s="3" t="s">
        <v>1</v>
      </c>
      <c r="G15" s="41">
        <f>KmRekt*SQRT((MätTryckGivenRekt)*(1.20474061433447/DensitetRekt))</f>
        <v>6.1399856423141443</v>
      </c>
      <c r="H15" s="2" t="s">
        <v>0</v>
      </c>
      <c r="I15" s="39" t="str">
        <f>IF(G15&lt;2,"Warning low velocity"," ")</f>
        <v xml:space="preserve"> </v>
      </c>
      <c r="J15" s="37" t="s">
        <v>38</v>
      </c>
      <c r="K15" s="37" t="s">
        <v>37</v>
      </c>
    </row>
    <row r="16" spans="1:11" ht="15.75" thickBot="1" x14ac:dyDescent="0.25">
      <c r="G16" s="46">
        <v>2119</v>
      </c>
      <c r="J16" s="47">
        <f>G13*G16</f>
        <v>1821.4881406489142</v>
      </c>
      <c r="K16" s="47">
        <f>G13*3600</f>
        <v>3094.552763726329</v>
      </c>
    </row>
    <row r="17" spans="1:9" x14ac:dyDescent="0.2">
      <c r="A17" s="49" t="s">
        <v>30</v>
      </c>
      <c r="B17" s="50"/>
      <c r="C17" s="51"/>
      <c r="D17" s="16">
        <v>5</v>
      </c>
      <c r="E17" s="15"/>
      <c r="F17" s="11" t="s">
        <v>4</v>
      </c>
      <c r="G17" s="10">
        <f>SUMSQ(FlödeRekt/(KanalAreaRekt*KmRekt))/(1.20474061433447/DensitetRekt)</f>
        <v>1691.6839560250314</v>
      </c>
      <c r="H17" s="9" t="s">
        <v>3</v>
      </c>
    </row>
    <row r="18" spans="1:9" x14ac:dyDescent="0.2">
      <c r="A18" s="8"/>
      <c r="D18" s="14"/>
      <c r="E18" s="14"/>
      <c r="F18" t="s">
        <v>35</v>
      </c>
      <c r="G18" s="27">
        <f>(D17/(273+AktTempRekt))*273</f>
        <v>4.5805369127516782</v>
      </c>
      <c r="H18" s="6" t="s">
        <v>2</v>
      </c>
    </row>
    <row r="19" spans="1:9" ht="15.75" thickBot="1" x14ac:dyDescent="0.25">
      <c r="A19" s="4"/>
      <c r="B19" s="3"/>
      <c r="C19" s="3"/>
      <c r="D19" s="17"/>
      <c r="E19" s="17"/>
      <c r="F19" s="3" t="s">
        <v>1</v>
      </c>
      <c r="G19" s="41">
        <f>KmRekt*SQRT((MätTryckRekt)*(1.20474061433447/DensitetRekt))</f>
        <v>35.714285714285708</v>
      </c>
      <c r="H19" s="2" t="s">
        <v>0</v>
      </c>
      <c r="I19" s="39" t="str">
        <f>IF(G19&lt;2,"Warning low velocity"," ")</f>
        <v xml:space="preserve"> </v>
      </c>
    </row>
    <row r="20" spans="1:9" ht="15.75" thickBot="1" x14ac:dyDescent="0.25">
      <c r="D20" s="23"/>
      <c r="E20" s="23"/>
      <c r="G20" s="14"/>
    </row>
    <row r="21" spans="1:9" x14ac:dyDescent="0.2">
      <c r="A21" s="49" t="s">
        <v>29</v>
      </c>
      <c r="B21" s="50"/>
      <c r="C21" s="51"/>
      <c r="D21" s="16">
        <v>5</v>
      </c>
      <c r="E21" s="15"/>
      <c r="F21" s="11" t="s">
        <v>4</v>
      </c>
      <c r="G21" s="10">
        <f>SUMSQ(FlödeRektMax/(KanalAreaRekt*KmRekt))/(1.20474061433447/DensitetRekt)</f>
        <v>1691.6839560250314</v>
      </c>
      <c r="H21" s="9" t="s">
        <v>3</v>
      </c>
    </row>
    <row r="22" spans="1:9" x14ac:dyDescent="0.2">
      <c r="A22" s="8"/>
      <c r="D22" s="14"/>
      <c r="E22" s="14"/>
      <c r="F22" t="s">
        <v>35</v>
      </c>
      <c r="G22" s="27">
        <f>(D21/(273+AktTempRekt))*273</f>
        <v>4.5805369127516782</v>
      </c>
      <c r="H22" s="6" t="s">
        <v>2</v>
      </c>
    </row>
    <row r="23" spans="1:9" ht="15.75" thickBot="1" x14ac:dyDescent="0.25">
      <c r="A23" s="4"/>
      <c r="B23" s="3"/>
      <c r="C23" s="3"/>
      <c r="D23" s="17"/>
      <c r="E23" s="17"/>
      <c r="F23" s="3" t="s">
        <v>1</v>
      </c>
      <c r="G23" s="41">
        <f>KmRekt*SQRT((MätTryckRektMax)*(1.20474061433447/DensitetRekt))</f>
        <v>35.714285714285708</v>
      </c>
      <c r="H23" s="2" t="s">
        <v>0</v>
      </c>
      <c r="I23" s="39" t="str">
        <f>IF(G23&lt;2,"Warning low velocity"," ")</f>
        <v xml:space="preserve"> </v>
      </c>
    </row>
    <row r="24" spans="1:9" ht="15.75" thickBot="1" x14ac:dyDescent="0.25"/>
    <row r="25" spans="1:9" x14ac:dyDescent="0.2">
      <c r="A25" s="49" t="s">
        <v>21</v>
      </c>
      <c r="B25" s="50"/>
      <c r="C25" s="51"/>
      <c r="D25" s="16">
        <v>3.12</v>
      </c>
      <c r="E25" s="15"/>
      <c r="F25" s="11" t="s">
        <v>4</v>
      </c>
      <c r="G25" s="10">
        <f>SUMSQ(HastighetRektGiven/KmRekt)/(1.20474061433447/DensitetRekt)</f>
        <v>12.910542188399576</v>
      </c>
      <c r="H25" s="9" t="s">
        <v>3</v>
      </c>
    </row>
    <row r="26" spans="1:9" x14ac:dyDescent="0.2">
      <c r="A26" s="8"/>
      <c r="F26" t="s">
        <v>34</v>
      </c>
      <c r="G26" s="27">
        <f>KanalAreaRekt*KmRekt*SQRT((DiffTryckRektFrånHast)*(1.20474061433447/DensitetRekt))</f>
        <v>0.43680000000000002</v>
      </c>
      <c r="H26" s="6" t="s">
        <v>2</v>
      </c>
    </row>
    <row r="27" spans="1:9" ht="16.5" thickBot="1" x14ac:dyDescent="0.3">
      <c r="A27" s="56"/>
      <c r="B27" s="57"/>
      <c r="C27" s="57"/>
      <c r="D27" s="3"/>
      <c r="E27" s="3"/>
      <c r="F27" s="3" t="s">
        <v>35</v>
      </c>
      <c r="G27" s="27">
        <f>(G26/(273+AktTempRekt))*273</f>
        <v>0.40015570469798661</v>
      </c>
      <c r="H27" s="2" t="s">
        <v>2</v>
      </c>
    </row>
    <row r="28" spans="1:9" ht="15.75" thickBot="1" x14ac:dyDescent="0.25"/>
    <row r="29" spans="1:9" ht="15.75" x14ac:dyDescent="0.25">
      <c r="A29" s="52" t="s">
        <v>32</v>
      </c>
      <c r="B29" s="53"/>
      <c r="C29" s="53"/>
      <c r="D29" s="12">
        <v>0</v>
      </c>
      <c r="E29" s="11"/>
      <c r="F29" s="11" t="s">
        <v>4</v>
      </c>
      <c r="G29" s="10">
        <f>SUMSQ(((FlödeNormRekt*(273+AktTempRekt))/273)/(KanalAreaRekt*KmRekt))/(1.20474061433447/DensitetRekt)</f>
        <v>0</v>
      </c>
      <c r="H29" s="9" t="s">
        <v>3</v>
      </c>
    </row>
    <row r="30" spans="1:9" x14ac:dyDescent="0.2">
      <c r="A30" s="8"/>
      <c r="F30" t="s">
        <v>34</v>
      </c>
      <c r="G30" s="27">
        <f>D29*(273+AktTempRekt)/273</f>
        <v>0</v>
      </c>
      <c r="H30" s="6" t="s">
        <v>2</v>
      </c>
    </row>
    <row r="31" spans="1:9" ht="15.75" thickBot="1" x14ac:dyDescent="0.25">
      <c r="A31" s="4"/>
      <c r="B31" s="3"/>
      <c r="C31" s="3"/>
      <c r="D31" s="3"/>
      <c r="E31" s="3"/>
      <c r="F31" s="3" t="s">
        <v>1</v>
      </c>
      <c r="G31" s="41">
        <f>KmRekt*SQRT((DiffTryckRektNorm)*(1.20474061433447/DensitetRekt))</f>
        <v>0</v>
      </c>
      <c r="H31" s="2" t="s">
        <v>0</v>
      </c>
      <c r="I31" s="39" t="str">
        <f>IF(G31&lt;2,"Warning low velocity"," ")</f>
        <v>Warning low velocity</v>
      </c>
    </row>
    <row r="32" spans="1:9" ht="15.75" thickBot="1" x14ac:dyDescent="0.25"/>
    <row r="33" spans="1:9" ht="15.75" x14ac:dyDescent="0.25">
      <c r="A33" s="52" t="s">
        <v>31</v>
      </c>
      <c r="B33" s="53"/>
      <c r="C33" s="53"/>
      <c r="D33" s="12">
        <v>0</v>
      </c>
      <c r="E33" s="11"/>
      <c r="F33" s="11" t="s">
        <v>4</v>
      </c>
      <c r="G33" s="10">
        <f>SUMSQ(((FlödeNormRektMax*(273+AktTempRekt))/273)/(KanalAreaRekt*KmRekt))/(1.20474061433447/DensitetRekt)</f>
        <v>0</v>
      </c>
      <c r="H33" s="9" t="s">
        <v>3</v>
      </c>
    </row>
    <row r="34" spans="1:9" x14ac:dyDescent="0.2">
      <c r="A34" s="8"/>
      <c r="F34" t="s">
        <v>34</v>
      </c>
      <c r="G34" s="27">
        <f>D33*(273+AktTempRekt)/273</f>
        <v>0</v>
      </c>
      <c r="H34" s="6" t="s">
        <v>2</v>
      </c>
    </row>
    <row r="35" spans="1:9" ht="15.75" thickBot="1" x14ac:dyDescent="0.25">
      <c r="A35" s="4"/>
      <c r="B35" s="3"/>
      <c r="C35" s="3"/>
      <c r="D35" s="3"/>
      <c r="E35" s="3"/>
      <c r="F35" s="3" t="s">
        <v>1</v>
      </c>
      <c r="G35" s="41">
        <f>KmRekt*SQRT((DiffTryckRektNormMax)*(1.20474061433447/DensitetRekt))</f>
        <v>0</v>
      </c>
      <c r="H35" s="2" t="s">
        <v>0</v>
      </c>
      <c r="I35" s="39" t="str">
        <f>IF(G35&lt;2,"Warning low velocity"," ")</f>
        <v>Warning low velocity</v>
      </c>
    </row>
  </sheetData>
  <mergeCells count="14">
    <mergeCell ref="H1:I1"/>
    <mergeCell ref="A4:B4"/>
    <mergeCell ref="A5:B5"/>
    <mergeCell ref="A12:C12"/>
    <mergeCell ref="A1:B1"/>
    <mergeCell ref="A6:C6"/>
    <mergeCell ref="E1:F1"/>
    <mergeCell ref="A33:C33"/>
    <mergeCell ref="A17:C17"/>
    <mergeCell ref="A25:C25"/>
    <mergeCell ref="A29:C29"/>
    <mergeCell ref="A13:C13"/>
    <mergeCell ref="A27:C27"/>
    <mergeCell ref="A21:C21"/>
  </mergeCells>
  <phoneticPr fontId="0" type="noConversion"/>
  <pageMargins left="0.25" right="0.2" top="0.4" bottom="0.22" header="0.4" footer="0.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41</vt:i4>
      </vt:variant>
    </vt:vector>
  </HeadingPairs>
  <TitlesOfParts>
    <vt:vector size="43" baseType="lpstr">
      <vt:lpstr>Circular Duct</vt:lpstr>
      <vt:lpstr>Rectangular Duct</vt:lpstr>
      <vt:lpstr>'Circular Duct'!AktBarCirk</vt:lpstr>
      <vt:lpstr>AktBarRekt</vt:lpstr>
      <vt:lpstr>'Circular Duct'!AktTempCirk</vt:lpstr>
      <vt:lpstr>AktTempRekt</vt:lpstr>
      <vt:lpstr>'Circular Duct'!DensCirk</vt:lpstr>
      <vt:lpstr>'Circular Duct'!densitetcirkulär</vt:lpstr>
      <vt:lpstr>DensitetRekt</vt:lpstr>
      <vt:lpstr>DensRekt</vt:lpstr>
      <vt:lpstr>DiffTryckCircNormMax</vt:lpstr>
      <vt:lpstr>'Circular Duct'!DiffTryckCirkFrånHast</vt:lpstr>
      <vt:lpstr>'Circular Duct'!DiffTryckCirkNorm</vt:lpstr>
      <vt:lpstr>DiffTryckRektFrånHast</vt:lpstr>
      <vt:lpstr>DiffTryckRektNorm</vt:lpstr>
      <vt:lpstr>DiffTryckRektNormMax</vt:lpstr>
      <vt:lpstr>FlödeCircMax</vt:lpstr>
      <vt:lpstr>'Circular Duct'!Flödecirk</vt:lpstr>
      <vt:lpstr>FlödeCirkGiven</vt:lpstr>
      <vt:lpstr>FlödeNormCircMax</vt:lpstr>
      <vt:lpstr>'Circular Duct'!FlödeNormCirk</vt:lpstr>
      <vt:lpstr>FlödeNormRekt</vt:lpstr>
      <vt:lpstr>FlödeNormRektMax</vt:lpstr>
      <vt:lpstr>FlödeRekt</vt:lpstr>
      <vt:lpstr>FlödeRektMax</vt:lpstr>
      <vt:lpstr>'Circular Duct'!HastighetCirkGiven</vt:lpstr>
      <vt:lpstr>HastighetRektGiven</vt:lpstr>
      <vt:lpstr>'Circular Duct'!kanalareacirk</vt:lpstr>
      <vt:lpstr>KanalAreaRekt</vt:lpstr>
      <vt:lpstr>KanalBreddRekt</vt:lpstr>
      <vt:lpstr>'Circular Duct'!KanalDiameter</vt:lpstr>
      <vt:lpstr>KanalLängdRekt</vt:lpstr>
      <vt:lpstr>'Circular Duct'!Kmcirkulär</vt:lpstr>
      <vt:lpstr>KmRekt</vt:lpstr>
      <vt:lpstr>MätTryckCircMax</vt:lpstr>
      <vt:lpstr>'Circular Duct'!MätTryckCirkGiven</vt:lpstr>
      <vt:lpstr>'Circular Duct'!mättryckcirkulär</vt:lpstr>
      <vt:lpstr>MätTryckGivenRekt</vt:lpstr>
      <vt:lpstr>MätTryckRekt</vt:lpstr>
      <vt:lpstr>MätTryckRektMax</vt:lpstr>
      <vt:lpstr>'Circular Duct'!StatisktTryck</vt:lpstr>
      <vt:lpstr>StatTrRekt</vt:lpstr>
      <vt:lpstr>StatTryckRekt</vt:lpstr>
    </vt:vector>
  </TitlesOfParts>
  <Company>AB Micatrone Regulator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Endre</dc:creator>
  <cp:lastModifiedBy>ליטל אבישרה</cp:lastModifiedBy>
  <cp:lastPrinted>2008-03-26T13:54:38Z</cp:lastPrinted>
  <dcterms:created xsi:type="dcterms:W3CDTF">2001-07-05T06:19:23Z</dcterms:created>
  <dcterms:modified xsi:type="dcterms:W3CDTF">2023-10-01T06:46:08Z</dcterms:modified>
</cp:coreProperties>
</file>